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micki/Desktop/_DESKTOP/FFED_all/FFED0029_Budgets/"/>
    </mc:Choice>
  </mc:AlternateContent>
  <xr:revisionPtr revIDLastSave="0" documentId="8_{5E730A96-E899-CF4F-9FEC-C9F2FB660C8B}" xr6:coauthVersionLast="46" xr6:coauthVersionMax="46" xr10:uidLastSave="{00000000-0000-0000-0000-000000000000}"/>
  <bookViews>
    <workbookView xWindow="40980" yWindow="4340" windowWidth="29040" windowHeight="17640" xr2:uid="{00000000-000D-0000-FFFF-FFFF00000000}"/>
  </bookViews>
  <sheets>
    <sheet name="Cost of Production and Sales" sheetId="1" r:id="rId1"/>
    <sheet name="Annual Return per Market Outlet" sheetId="4" r:id="rId2"/>
  </sheets>
  <definedNames>
    <definedName name="_xlnm.Print_Area" localSheetId="0">'Cost of Production and Sales'!$A$1:$G$50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" l="1"/>
  <c r="H14" i="4" s="1"/>
  <c r="F13" i="4"/>
  <c r="H13" i="4" s="1"/>
  <c r="F12" i="4"/>
  <c r="H12" i="4" s="1"/>
  <c r="F11" i="4"/>
  <c r="H11" i="4" s="1"/>
  <c r="F10" i="4"/>
  <c r="H10" i="4" s="1"/>
  <c r="F9" i="4"/>
  <c r="H9" i="4" s="1"/>
  <c r="D40" i="1" l="1"/>
  <c r="D25" i="1" l="1"/>
  <c r="D42" i="1" l="1"/>
  <c r="D43" i="1"/>
  <c r="D41" i="1"/>
  <c r="D23" i="1"/>
  <c r="D44" i="1" l="1"/>
  <c r="K11" i="4" s="1"/>
  <c r="E35" i="1"/>
  <c r="E32" i="1"/>
  <c r="D8" i="1"/>
  <c r="D19" i="1" l="1"/>
  <c r="F31" i="1"/>
  <c r="D8" i="4" l="1"/>
  <c r="F8" i="4" s="1"/>
  <c r="D17" i="1"/>
  <c r="D7" i="1"/>
  <c r="H8" i="4" l="1"/>
  <c r="F15" i="4"/>
  <c r="K12" i="4" s="1"/>
  <c r="D26" i="1"/>
  <c r="D15" i="4"/>
  <c r="D27" i="1" l="1"/>
  <c r="K9" i="4" s="1"/>
  <c r="F35" i="1" l="1"/>
  <c r="F34" i="1"/>
  <c r="D36" i="1"/>
  <c r="F32" i="1"/>
  <c r="F33" i="1"/>
  <c r="D14" i="1"/>
  <c r="F12" i="1"/>
  <c r="F13" i="1"/>
  <c r="F14" i="1" l="1"/>
  <c r="K8" i="4" s="1"/>
  <c r="F36" i="1"/>
  <c r="D47" i="1" l="1"/>
  <c r="K10" i="4"/>
  <c r="K13" i="4" s="1"/>
  <c r="D48" i="1"/>
  <c r="E19" i="4" l="1"/>
  <c r="E18" i="4"/>
  <c r="E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Coll, Emily J [EXTAG]</author>
  </authors>
  <commentList>
    <comment ref="A3" authorId="0" shapeId="0" xr:uid="{00000000-0006-0000-0000-000001000000}">
      <text>
        <r>
          <rPr>
            <sz val="8"/>
            <color indexed="81"/>
            <rFont val="Tahoma"/>
            <family val="2"/>
          </rPr>
          <t>Place the cursor over cells with red triangles to read comments.</t>
        </r>
      </text>
    </comment>
    <comment ref="A9" authorId="1" shapeId="0" xr:uid="{C81EE65C-152D-4272-BA3D-0D8CD8253991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Single layer poly, no automatic sides or other electronic features</t>
        </r>
      </text>
    </comment>
    <comment ref="A11" authorId="0" shapeId="0" xr:uid="{00000000-0006-0000-0000-000002000000}">
      <text>
        <r>
          <rPr>
            <sz val="8"/>
            <color indexed="81"/>
            <rFont val="Tahoma"/>
            <family val="2"/>
          </rPr>
          <t>Fixed machinery costs include depreciation, return on 
investment in machinery (interest), insurance, and housing.  
Variable machinery costs include fuel, oil, and repairs.</t>
        </r>
      </text>
    </comment>
    <comment ref="D17" authorId="1" shapeId="0" xr:uid="{CE8D74B3-D4DB-471F-9C9D-194EDD2D9DB8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Uses only 10% of the seeds for the two plantings
</t>
        </r>
      </text>
    </comment>
    <comment ref="A18" authorId="1" shapeId="0" xr:uid="{5AE1B8C3-8C99-4BEE-95BF-250A3F45D6F7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Applied composted chicken and cow manure at bed prep. Comes from the farm so does not pay for it but did include hours in bed prep labor costs</t>
        </r>
      </text>
    </comment>
    <comment ref="A19" authorId="1" shapeId="0" xr:uid="{FC50A8FA-3251-4AC2-8BFD-24D352F630C9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Neem oil two applications
</t>
        </r>
      </text>
    </comment>
    <comment ref="D19" authorId="1" shapeId="0" xr:uid="{B3F91BF9-FFBC-440E-9784-824F874B8242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1 application of neem oil at 15 ml and 6 applications of Bt at 30 ml per application</t>
        </r>
      </text>
    </comment>
    <comment ref="A21" authorId="1" shapeId="0" xr:uid="{DDC34EF0-234C-442E-873F-FDA98FAB5A70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Not on well</t>
        </r>
      </text>
    </comment>
    <comment ref="D21" authorId="1" shapeId="0" xr:uid="{0BCB51BB-207E-42B0-A12E-F0DFD6B6759D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Didn't test because farmer is on public water. To comply with the Produce Safetly Rule of the Food Safety Modernization Act, farmers must test their well annually.</t>
        </r>
      </text>
    </comment>
    <comment ref="A23" authorId="1" shapeId="0" xr:uid="{FD08E991-85D1-4CBA-8CDA-1C7B42A60460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Tunnel tarps to cover paths, new hoses each year</t>
        </r>
      </text>
    </comment>
    <comment ref="D23" authorId="1" shapeId="0" xr:uid="{77646417-8CDC-4E0E-AAA8-CBC892553BF9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$48.45 cost of tarps and a 5-year life</t>
        </r>
      </text>
    </comment>
    <comment ref="A24" authorId="1" shapeId="0" xr:uid="{A4015F12-98EE-42B4-812A-D793F14E3D45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Crop, product liability, vehicle insurance, workmans comp, structure </t>
        </r>
      </text>
    </comment>
    <comment ref="D24" authorId="1" shapeId="0" xr:uid="{6879519C-F4F8-44CE-83A1-DB04551C8B6B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Mixed greens are 25% of total farm income and 200 is the total insurance paid</t>
        </r>
      </text>
    </comment>
    <comment ref="D25" authorId="1" shapeId="0" xr:uid="{23EC5A63-1452-4D72-A84F-2C468A5FA380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$180 was from Jan through June so divided by number of months and multiplied by the four months of this study. 15% is how much of the cooler is being used by the greens.</t>
        </r>
      </text>
    </comment>
    <comment ref="A31" authorId="1" shapeId="0" xr:uid="{2F0950CF-C2A5-426C-B74D-75F71EC63F41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Tilling, and smoothing</t>
        </r>
      </text>
    </comment>
    <comment ref="E31" authorId="1" shapeId="0" xr:uid="{729684FC-2AF2-4CAF-B7F5-FFACB383AB58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Owner wage</t>
        </r>
      </text>
    </comment>
    <comment ref="A34" authorId="1" shapeId="0" xr:uid="{5927EF53-9033-4510-8D82-B2D5D36C2E2A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Included packaging in this example because all mixed greens packaged the same way for all markets.</t>
        </r>
      </text>
    </comment>
    <comment ref="E34" authorId="1" shapeId="0" xr:uid="{E99A0548-5650-4AC2-8C84-DC8BBA80B3CF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Wage for seasonal laborers
</t>
        </r>
      </text>
    </comment>
    <comment ref="A40" authorId="1" shapeId="0" xr:uid="{DB5D307F-2770-44B7-B574-FB69BF8BE2A3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10 year lifespan 
5% of total sales is in greens</t>
        </r>
      </text>
    </comment>
    <comment ref="A41" authorId="1" shapeId="0" xr:uid="{C4CE13EB-97BE-476E-8AFC-F13A73FA9AA6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3 year lifespan for plastic
5% of total sales from tunnel is greens</t>
        </r>
      </text>
    </comment>
    <comment ref="A42" authorId="1" shapeId="0" xr:uid="{4E84769D-C5E1-4195-9889-31DDFD1CB4A1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15 year life span
1% of total farm sales is high tunnel greens from February through May</t>
        </r>
      </text>
    </comment>
    <comment ref="A43" authorId="1" shapeId="0" xr:uid="{36D7A3D7-4C20-4B55-9924-8B955DC48142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Land cost average lease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Economics Department</author>
    <author>Coll, Emily J [EXTAG]</author>
  </authors>
  <commentList>
    <comment ref="A3" authorId="0" shapeId="0" xr:uid="{6BCB0F90-1F6B-4088-8997-1BC8EAD2C98F}">
      <text>
        <r>
          <rPr>
            <sz val="8"/>
            <color rgb="FF000000"/>
            <rFont val="Tahoma"/>
            <family val="2"/>
          </rPr>
          <t>Place the cursor over cells with red triangles to read comments.</t>
        </r>
      </text>
    </comment>
    <comment ref="A8" authorId="1" shapeId="0" xr:uid="{70F3E5C2-759B-4E14-B985-35B5793E379D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Mileage to drop sites
</t>
        </r>
      </text>
    </comment>
    <comment ref="F8" authorId="1" shapeId="0" xr:uid="{C9DFADF6-C0A1-441A-8B27-2DC1321717A7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18% of total CSA sales for these three months were greens.</t>
        </r>
      </text>
    </comment>
    <comment ref="F12" authorId="1" shapeId="0" xr:uid="{C93E4769-D4BE-4F96-8AD2-9B3ECDC282A7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40% of total farm stand sales for these three months were greens.</t>
        </r>
      </text>
    </comment>
    <comment ref="A13" authorId="1" shapeId="0" xr:uid="{8D023768-2A47-401B-A838-9CF493B8C5B4}">
      <text>
        <r>
          <rPr>
            <b/>
            <sz val="9"/>
            <color indexed="81"/>
            <rFont val="Tahoma"/>
            <family val="2"/>
          </rPr>
          <t>Coll, Emily J [EXTAG]:</t>
        </r>
        <r>
          <rPr>
            <sz val="9"/>
            <color indexed="81"/>
            <rFont val="Tahoma"/>
            <family val="2"/>
          </rPr>
          <t xml:space="preserve">
Time and materials</t>
        </r>
      </text>
    </comment>
  </commentList>
</comments>
</file>

<file path=xl/sharedStrings.xml><?xml version="1.0" encoding="utf-8"?>
<sst xmlns="http://schemas.openxmlformats.org/spreadsheetml/2006/main" count="81" uniqueCount="68">
  <si>
    <t>Total</t>
  </si>
  <si>
    <t xml:space="preserve"> </t>
  </si>
  <si>
    <t>Place the cursor over cells with red triangles to read comments.</t>
  </si>
  <si>
    <t>Enter your input values in shaded cells.</t>
  </si>
  <si>
    <t>$/Unit</t>
  </si>
  <si>
    <t>Utilization</t>
  </si>
  <si>
    <t>Approximate Original High Tunnel Cost</t>
  </si>
  <si>
    <t>$/Lb.</t>
  </si>
  <si>
    <t>Annual Expenses</t>
  </si>
  <si>
    <t xml:space="preserve"> Seeds/Transplants  </t>
  </si>
  <si>
    <t xml:space="preserve"> Fertilizers  </t>
  </si>
  <si>
    <t xml:space="preserve"> Water Test  </t>
  </si>
  <si>
    <t xml:space="preserve"> Irrigation Supplies  </t>
  </si>
  <si>
    <t xml:space="preserve"> Total Annual Expenses  </t>
  </si>
  <si>
    <t>Total Receipts</t>
  </si>
  <si>
    <t>Labor Costs</t>
  </si>
  <si>
    <t>Hours</t>
  </si>
  <si>
    <t xml:space="preserve"> Bed Preparation  </t>
  </si>
  <si>
    <t xml:space="preserve"> Pest Management  </t>
  </si>
  <si>
    <t>Ownership Costs</t>
  </si>
  <si>
    <t xml:space="preserve"> Annual </t>
  </si>
  <si>
    <t>Depreciation - Tunnel</t>
  </si>
  <si>
    <t xml:space="preserve">Depreciation - Plastic Cover </t>
  </si>
  <si>
    <t xml:space="preserve"> Total Costs  </t>
  </si>
  <si>
    <t xml:space="preserve"> Per Square Foot  </t>
  </si>
  <si>
    <t xml:space="preserve"> Annual Returns Over Total Costs </t>
  </si>
  <si>
    <t>Marketing Costs</t>
  </si>
  <si>
    <t xml:space="preserve"> Insurance</t>
  </si>
  <si>
    <t xml:space="preserve">Land </t>
  </si>
  <si>
    <t xml:space="preserve"> Small Tools</t>
  </si>
  <si>
    <t xml:space="preserve"> Pesticides/herbicides</t>
  </si>
  <si>
    <t>Total Ownership Costs</t>
  </si>
  <si>
    <t xml:space="preserve"> Production, labor and ownership </t>
  </si>
  <si>
    <t>ft2</t>
  </si>
  <si>
    <t>Quantity</t>
  </si>
  <si>
    <t>Mileage - CSA</t>
  </si>
  <si>
    <t>Labor - CSA</t>
  </si>
  <si>
    <t>Packaging/Labeling - CSA</t>
  </si>
  <si>
    <t>Packaging/Labeling - Farm Stand</t>
  </si>
  <si>
    <t>Labor - Farm Stand</t>
  </si>
  <si>
    <t xml:space="preserve"> Water  Use</t>
  </si>
  <si>
    <t xml:space="preserve"> Other supplies</t>
  </si>
  <si>
    <t>High Tunnel (30x96)</t>
  </si>
  <si>
    <t xml:space="preserve">Receipts - </t>
  </si>
  <si>
    <t>Mixed Greens - Farm Stand/Retail</t>
  </si>
  <si>
    <t>Mixed Greens - Salad and Summer CSA</t>
  </si>
  <si>
    <t>Depreciation - cold storage shed</t>
  </si>
  <si>
    <t xml:space="preserve"> Advertising - CSA</t>
  </si>
  <si>
    <t>Advertising Facebook- Farm Stand</t>
  </si>
  <si>
    <t xml:space="preserve"> Utilities - cold storage</t>
  </si>
  <si>
    <t>Mixed greens - CSA</t>
  </si>
  <si>
    <t>Mixed greens - Farm Stand</t>
  </si>
  <si>
    <t>88 ft rows, 1 foot rows, 8 beds = 704 ft sq</t>
  </si>
  <si>
    <t xml:space="preserve"> Transplanting  </t>
  </si>
  <si>
    <t>Weeding</t>
  </si>
  <si>
    <t xml:space="preserve"> Harvest/washing/packaging  </t>
  </si>
  <si>
    <t>February - May</t>
  </si>
  <si>
    <t>High Tunnel Mixed Greens Budget: Sales Receipts and Cost of Production</t>
  </si>
  <si>
    <t>High Tunnel Mixed Greens Budget: Marketing Costs and Annual Returns over Total Costs</t>
  </si>
  <si>
    <t>Summary</t>
  </si>
  <si>
    <t>Labor</t>
  </si>
  <si>
    <t>Marketing</t>
  </si>
  <si>
    <t>Net Profit</t>
  </si>
  <si>
    <t>Qty Sold(lb.)</t>
  </si>
  <si>
    <t>% Farm Sales</t>
  </si>
  <si>
    <t>Total after Allocation</t>
  </si>
  <si>
    <t>This institution is an equal opportunity provider. For the full non-discrimination statement or</t>
  </si>
  <si>
    <r>
      <t xml:space="preserve">accommodation inquiries, go to </t>
    </r>
    <r>
      <rPr>
        <sz val="11"/>
        <color rgb="FF0563C2"/>
        <rFont val="Helvetica"/>
        <family val="2"/>
      </rPr>
      <t>www.extension.iastate.edu/diversity/ext</t>
    </r>
    <r>
      <rPr>
        <sz val="11"/>
        <color rgb="FF000000"/>
        <rFont val="Helvetic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</si>
</sst>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color indexed="63"/>
      <name val="Univers"/>
      <family val="2"/>
    </font>
    <font>
      <sz val="8"/>
      <color indexed="81"/>
      <name val="Tahoma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Helvetica"/>
      <family val="2"/>
    </font>
    <font>
      <sz val="11"/>
      <color rgb="FF0563C2"/>
      <name val="Helvetica"/>
      <family val="2"/>
    </font>
    <font>
      <sz val="11"/>
      <color rgb="FF000000"/>
      <name val="Helvetic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Protection="1"/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>
      <alignment horizontal="left" wrapText="1"/>
    </xf>
    <xf numFmtId="0" fontId="2" fillId="0" borderId="0" xfId="0" applyFont="1" applyProtection="1"/>
    <xf numFmtId="164" fontId="3" fillId="0" borderId="0" xfId="0" applyNumberFormat="1" applyFont="1" applyProtection="1"/>
    <xf numFmtId="0" fontId="0" fillId="0" borderId="0" xfId="0" applyProtection="1"/>
    <xf numFmtId="0" fontId="6" fillId="0" borderId="0" xfId="0" applyFont="1" applyAlignment="1" applyProtection="1">
      <alignment wrapText="1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2" fontId="12" fillId="2" borderId="1" xfId="0" applyNumberFormat="1" applyFont="1" applyFill="1" applyBorder="1" applyProtection="1">
      <protection locked="0"/>
    </xf>
    <xf numFmtId="164" fontId="12" fillId="4" borderId="1" xfId="0" applyNumberFormat="1" applyFont="1" applyFill="1" applyBorder="1" applyProtection="1">
      <protection locked="0"/>
    </xf>
    <xf numFmtId="164" fontId="12" fillId="0" borderId="0" xfId="0" applyNumberFormat="1" applyFont="1" applyProtection="1"/>
    <xf numFmtId="164" fontId="12" fillId="4" borderId="1" xfId="0" applyNumberFormat="1" applyFont="1" applyFill="1" applyBorder="1" applyProtection="1"/>
    <xf numFmtId="2" fontId="14" fillId="0" borderId="0" xfId="0" quotePrefix="1" applyNumberFormat="1" applyFont="1" applyAlignment="1" applyProtection="1">
      <alignment horizontal="right"/>
    </xf>
    <xf numFmtId="164" fontId="14" fillId="0" borderId="0" xfId="0" applyNumberFormat="1" applyFont="1" applyProtection="1"/>
    <xf numFmtId="0" fontId="12" fillId="0" borderId="0" xfId="0" applyFont="1" applyAlignment="1" applyProtection="1">
      <alignment horizontal="left" indent="1"/>
    </xf>
    <xf numFmtId="164" fontId="12" fillId="0" borderId="0" xfId="0" quotePrefix="1" applyNumberFormat="1" applyFont="1" applyAlignment="1" applyProtection="1">
      <alignment horizontal="right"/>
    </xf>
    <xf numFmtId="0" fontId="12" fillId="4" borderId="1" xfId="0" applyFont="1" applyFill="1" applyBorder="1" applyAlignment="1" applyProtection="1">
      <alignment horizontal="left" indent="1"/>
      <protection locked="0"/>
    </xf>
    <xf numFmtId="0" fontId="15" fillId="0" borderId="0" xfId="0" applyFont="1" applyProtection="1"/>
    <xf numFmtId="0" fontId="16" fillId="0" borderId="0" xfId="1" applyFont="1" applyAlignment="1" applyProtection="1">
      <alignment horizontal="left" wrapText="1"/>
    </xf>
    <xf numFmtId="0" fontId="12" fillId="2" borderId="2" xfId="0" applyFont="1" applyFill="1" applyBorder="1" applyProtection="1"/>
    <xf numFmtId="167" fontId="12" fillId="4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/>
    <xf numFmtId="0" fontId="17" fillId="0" borderId="0" xfId="0" applyFont="1" applyAlignment="1" applyProtection="1">
      <alignment horizontal="right"/>
    </xf>
    <xf numFmtId="166" fontId="12" fillId="4" borderId="1" xfId="0" applyNumberFormat="1" applyFont="1" applyFill="1" applyBorder="1" applyProtection="1">
      <protection locked="0"/>
    </xf>
    <xf numFmtId="2" fontId="12" fillId="0" borderId="0" xfId="0" applyNumberFormat="1" applyFont="1" applyProtection="1"/>
    <xf numFmtId="164" fontId="12" fillId="0" borderId="0" xfId="3" applyNumberFormat="1" applyFont="1" applyProtection="1"/>
    <xf numFmtId="166" fontId="12" fillId="0" borderId="0" xfId="0" applyNumberFormat="1" applyFont="1" applyProtection="1"/>
    <xf numFmtId="164" fontId="14" fillId="0" borderId="0" xfId="3" applyNumberFormat="1" applyFont="1" applyProtection="1"/>
    <xf numFmtId="165" fontId="12" fillId="0" borderId="0" xfId="0" applyNumberFormat="1" applyFont="1" applyProtection="1"/>
    <xf numFmtId="164" fontId="12" fillId="2" borderId="1" xfId="0" applyNumberFormat="1" applyFont="1" applyFill="1" applyBorder="1" applyProtection="1">
      <protection locked="0"/>
    </xf>
    <xf numFmtId="164" fontId="14" fillId="0" borderId="0" xfId="0" quotePrefix="1" applyNumberFormat="1" applyFont="1" applyAlignment="1" applyProtection="1">
      <alignment horizontal="right"/>
    </xf>
    <xf numFmtId="8" fontId="12" fillId="4" borderId="1" xfId="0" applyNumberFormat="1" applyFont="1" applyFill="1" applyBorder="1" applyProtection="1"/>
    <xf numFmtId="164" fontId="12" fillId="0" borderId="0" xfId="0" applyNumberFormat="1" applyFont="1" applyFill="1" applyBorder="1" applyProtection="1"/>
    <xf numFmtId="164" fontId="12" fillId="0" borderId="0" xfId="3" applyNumberFormat="1" applyFont="1" applyFill="1" applyBorder="1" applyProtection="1"/>
    <xf numFmtId="0" fontId="19" fillId="0" borderId="0" xfId="0" applyFont="1"/>
    <xf numFmtId="164" fontId="18" fillId="4" borderId="1" xfId="0" applyNumberFormat="1" applyFont="1" applyFill="1" applyBorder="1" applyProtection="1"/>
    <xf numFmtId="2" fontId="12" fillId="5" borderId="1" xfId="0" applyNumberFormat="1" applyFont="1" applyFill="1" applyBorder="1" applyProtection="1">
      <protection locked="0"/>
    </xf>
    <xf numFmtId="164" fontId="12" fillId="5" borderId="1" xfId="0" applyNumberFormat="1" applyFont="1" applyFill="1" applyBorder="1" applyProtection="1">
      <protection locked="0"/>
    </xf>
    <xf numFmtId="164" fontId="12" fillId="5" borderId="0" xfId="0" applyNumberFormat="1" applyFont="1" applyFill="1" applyProtection="1"/>
    <xf numFmtId="164" fontId="12" fillId="6" borderId="0" xfId="0" applyNumberFormat="1" applyFont="1" applyFill="1" applyProtection="1"/>
    <xf numFmtId="0" fontId="12" fillId="5" borderId="1" xfId="0" applyFont="1" applyFill="1" applyBorder="1" applyAlignment="1" applyProtection="1">
      <alignment horizontal="left" indent="1"/>
      <protection locked="0"/>
    </xf>
    <xf numFmtId="164" fontId="12" fillId="5" borderId="1" xfId="0" applyNumberFormat="1" applyFont="1" applyFill="1" applyBorder="1" applyProtection="1"/>
    <xf numFmtId="0" fontId="12" fillId="6" borderId="1" xfId="0" applyFont="1" applyFill="1" applyBorder="1" applyAlignment="1" applyProtection="1">
      <alignment horizontal="left" indent="1"/>
      <protection locked="0"/>
    </xf>
    <xf numFmtId="164" fontId="12" fillId="6" borderId="1" xfId="0" applyNumberFormat="1" applyFont="1" applyFill="1" applyBorder="1" applyProtection="1"/>
    <xf numFmtId="2" fontId="12" fillId="6" borderId="1" xfId="0" quotePrefix="1" applyNumberFormat="1" applyFont="1" applyFill="1" applyBorder="1" applyAlignment="1" applyProtection="1">
      <alignment horizontal="right"/>
    </xf>
    <xf numFmtId="2" fontId="12" fillId="6" borderId="4" xfId="0" quotePrefix="1" applyNumberFormat="1" applyFont="1" applyFill="1" applyBorder="1" applyAlignment="1" applyProtection="1">
      <alignment horizontal="right"/>
    </xf>
    <xf numFmtId="164" fontId="12" fillId="6" borderId="4" xfId="0" applyNumberFormat="1" applyFont="1" applyFill="1" applyBorder="1" applyProtection="1"/>
    <xf numFmtId="164" fontId="14" fillId="4" borderId="1" xfId="0" applyNumberFormat="1" applyFont="1" applyFill="1" applyBorder="1" applyProtection="1"/>
    <xf numFmtId="0" fontId="12" fillId="6" borderId="1" xfId="0" applyFont="1" applyFill="1" applyBorder="1" applyAlignment="1" applyProtection="1">
      <alignment horizontal="left"/>
    </xf>
    <xf numFmtId="0" fontId="12" fillId="6" borderId="2" xfId="0" applyFont="1" applyFill="1" applyBorder="1" applyProtection="1"/>
    <xf numFmtId="0" fontId="12" fillId="6" borderId="3" xfId="0" applyFont="1" applyFill="1" applyBorder="1" applyProtection="1"/>
    <xf numFmtId="0" fontId="12" fillId="0" borderId="0" xfId="0" applyFont="1" applyFill="1" applyAlignment="1" applyProtection="1">
      <alignment horizontal="left" indent="1"/>
    </xf>
    <xf numFmtId="9" fontId="12" fillId="4" borderId="1" xfId="4" applyFont="1" applyFill="1" applyBorder="1" applyProtection="1">
      <protection locked="0"/>
    </xf>
    <xf numFmtId="164" fontId="12" fillId="4" borderId="1" xfId="3" applyNumberFormat="1" applyFont="1" applyFill="1" applyBorder="1" applyProtection="1">
      <protection locked="0"/>
    </xf>
    <xf numFmtId="164" fontId="12" fillId="6" borderId="1" xfId="0" applyNumberFormat="1" applyFont="1" applyFill="1" applyBorder="1" applyProtection="1">
      <protection locked="0"/>
    </xf>
    <xf numFmtId="0" fontId="17" fillId="0" borderId="0" xfId="0" applyFont="1" applyAlignment="1" applyProtection="1">
      <alignment horizontal="center" wrapText="1"/>
    </xf>
    <xf numFmtId="164" fontId="12" fillId="0" borderId="0" xfId="0" applyNumberFormat="1" applyFo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3" applyFont="1"/>
    <xf numFmtId="164" fontId="20" fillId="0" borderId="0" xfId="3" applyNumberFormat="1" applyFont="1"/>
    <xf numFmtId="164" fontId="14" fillId="0" borderId="0" xfId="0" applyNumberFormat="1" applyFont="1"/>
    <xf numFmtId="44" fontId="14" fillId="0" borderId="0" xfId="3" applyFont="1"/>
    <xf numFmtId="0" fontId="14" fillId="0" borderId="0" xfId="0" applyFont="1" applyAlignment="1" applyProtection="1">
      <alignment horizontal="center" wrapText="1"/>
    </xf>
    <xf numFmtId="9" fontId="12" fillId="5" borderId="0" xfId="4" applyFont="1" applyFill="1" applyProtection="1"/>
    <xf numFmtId="9" fontId="12" fillId="6" borderId="0" xfId="4" applyFont="1" applyFill="1" applyProtection="1"/>
    <xf numFmtId="0" fontId="6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8" fillId="3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2" fillId="2" borderId="2" xfId="0" applyFont="1" applyFill="1" applyBorder="1" applyAlignment="1" applyProtection="1">
      <alignment horizontal="left"/>
    </xf>
    <xf numFmtId="0" fontId="21" fillId="0" borderId="0" xfId="0" applyFont="1"/>
    <xf numFmtId="0" fontId="23" fillId="0" borderId="0" xfId="0" applyFont="1"/>
    <xf numFmtId="0" fontId="13" fillId="3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2" fillId="0" borderId="0" xfId="0" applyFont="1" applyBorder="1"/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3</xdr:col>
      <xdr:colOff>44742</xdr:colOff>
      <xdr:row>55</xdr:row>
      <xdr:rowOff>97721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1B415B-F2FD-D747-B6B4-9FE975F5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42500"/>
          <a:ext cx="3245142" cy="593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3</xdr:col>
      <xdr:colOff>336842</xdr:colOff>
      <xdr:row>29</xdr:row>
      <xdr:rowOff>21521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825559-E4EA-794B-8BEC-2F4867BDB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5100"/>
          <a:ext cx="3245142" cy="593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I60"/>
  <sheetViews>
    <sheetView showGridLines="0" tabSelected="1" zoomScaleNormal="100" workbookViewId="0">
      <selection activeCell="H7" sqref="H7"/>
    </sheetView>
  </sheetViews>
  <sheetFormatPr baseColWidth="10" defaultColWidth="9.1640625" defaultRowHeight="13" x14ac:dyDescent="0.15"/>
  <cols>
    <col min="1" max="1" width="37.5" style="1" customWidth="1"/>
    <col min="2" max="2" width="1.83203125" style="1" customWidth="1"/>
    <col min="3" max="3" width="2.6640625" style="1" customWidth="1"/>
    <col min="4" max="6" width="12.1640625" style="1" customWidth="1"/>
    <col min="7" max="7" width="11.5" style="1" customWidth="1"/>
    <col min="8" max="8" width="10.1640625" style="1" customWidth="1"/>
    <col min="9" max="9" width="10.6640625" style="1" customWidth="1"/>
    <col min="10" max="10" width="12.5" style="1" bestFit="1" customWidth="1"/>
    <col min="11" max="16384" width="9.1640625" style="1"/>
  </cols>
  <sheetData>
    <row r="1" spans="1:9" s="79" customFormat="1" ht="18" x14ac:dyDescent="0.2">
      <c r="A1" s="78" t="s">
        <v>57</v>
      </c>
      <c r="B1" s="78"/>
      <c r="C1" s="78"/>
      <c r="D1" s="78"/>
      <c r="E1" s="78"/>
      <c r="F1" s="78"/>
      <c r="G1" s="78"/>
    </row>
    <row r="2" spans="1:9" x14ac:dyDescent="0.15">
      <c r="A2" s="3"/>
      <c r="B2" s="3"/>
      <c r="C2" s="3"/>
      <c r="D2" s="3"/>
      <c r="E2" s="3"/>
      <c r="F2" s="3"/>
      <c r="G2" s="3"/>
      <c r="H2" s="2"/>
      <c r="I2" s="2"/>
    </row>
    <row r="3" spans="1:9" s="10" customFormat="1" ht="15" x14ac:dyDescent="0.2">
      <c r="A3" s="76" t="s">
        <v>2</v>
      </c>
      <c r="B3" s="76"/>
      <c r="C3" s="76"/>
      <c r="D3" s="76"/>
      <c r="E3" s="76"/>
      <c r="F3" s="26"/>
      <c r="G3" s="26"/>
    </row>
    <row r="4" spans="1:9" s="10" customFormat="1" ht="15" x14ac:dyDescent="0.2">
      <c r="A4" s="80" t="s">
        <v>3</v>
      </c>
      <c r="B4" s="27"/>
      <c r="C4" s="27"/>
      <c r="D4" s="27"/>
    </row>
    <row r="5" spans="1:9" s="10" customFormat="1" ht="15" x14ac:dyDescent="0.2"/>
    <row r="6" spans="1:9" s="10" customFormat="1" ht="15" x14ac:dyDescent="0.2">
      <c r="A6" s="11"/>
      <c r="B6" s="11"/>
      <c r="C6" s="11"/>
    </row>
    <row r="7" spans="1:9" s="10" customFormat="1" ht="15" x14ac:dyDescent="0.2">
      <c r="A7" s="13" t="s">
        <v>42</v>
      </c>
      <c r="D7" s="28">
        <f>30*96</f>
        <v>2880</v>
      </c>
      <c r="E7" s="13" t="s">
        <v>33</v>
      </c>
    </row>
    <row r="8" spans="1:9" s="10" customFormat="1" ht="15" x14ac:dyDescent="0.2">
      <c r="A8" s="13" t="s">
        <v>5</v>
      </c>
      <c r="D8" s="61">
        <f>704/2880</f>
        <v>0.24444444444444444</v>
      </c>
      <c r="E8" s="10" t="s">
        <v>52</v>
      </c>
    </row>
    <row r="9" spans="1:9" s="10" customFormat="1" ht="15" x14ac:dyDescent="0.2">
      <c r="A9" s="13" t="s">
        <v>6</v>
      </c>
      <c r="D9" s="62">
        <v>8200</v>
      </c>
    </row>
    <row r="10" spans="1:9" s="10" customFormat="1" ht="15" customHeight="1" x14ac:dyDescent="0.2">
      <c r="A10" s="14"/>
      <c r="B10" s="14"/>
      <c r="D10" s="77"/>
      <c r="E10" s="77"/>
      <c r="F10" s="77"/>
      <c r="G10" s="29"/>
      <c r="H10" s="64"/>
      <c r="I10" s="64"/>
    </row>
    <row r="11" spans="1:9" s="10" customFormat="1" ht="15" x14ac:dyDescent="0.2">
      <c r="A11" s="30" t="s">
        <v>43</v>
      </c>
      <c r="D11" s="31" t="s">
        <v>63</v>
      </c>
      <c r="E11" s="31" t="s">
        <v>7</v>
      </c>
      <c r="F11" s="31" t="s">
        <v>0</v>
      </c>
      <c r="G11" s="64"/>
      <c r="H11" s="64"/>
    </row>
    <row r="12" spans="1:9" s="10" customFormat="1" ht="15" x14ac:dyDescent="0.2">
      <c r="A12" s="24" t="s">
        <v>45</v>
      </c>
      <c r="D12" s="32">
        <v>34</v>
      </c>
      <c r="E12" s="17">
        <v>12</v>
      </c>
      <c r="F12" s="18">
        <f>D12*E12</f>
        <v>408</v>
      </c>
      <c r="G12" s="33"/>
      <c r="H12" s="18"/>
      <c r="I12" s="34"/>
    </row>
    <row r="13" spans="1:9" s="10" customFormat="1" ht="15" x14ac:dyDescent="0.2">
      <c r="A13" s="24" t="s">
        <v>44</v>
      </c>
      <c r="D13" s="32">
        <v>52.75</v>
      </c>
      <c r="E13" s="17">
        <v>12</v>
      </c>
      <c r="F13" s="18">
        <f>D13*E13</f>
        <v>633</v>
      </c>
      <c r="G13" s="33"/>
      <c r="H13" s="18"/>
      <c r="I13" s="34"/>
    </row>
    <row r="14" spans="1:9" s="10" customFormat="1" ht="15" x14ac:dyDescent="0.2">
      <c r="A14" s="13" t="s">
        <v>14</v>
      </c>
      <c r="B14" s="14"/>
      <c r="D14" s="35">
        <f>SUM(D12:D13)</f>
        <v>86.75</v>
      </c>
      <c r="E14" s="21"/>
      <c r="F14" s="36">
        <f>SUM(F12:F13)</f>
        <v>1041</v>
      </c>
      <c r="G14" s="14"/>
      <c r="H14" s="36"/>
    </row>
    <row r="15" spans="1:9" s="10" customFormat="1" ht="15" x14ac:dyDescent="0.2">
      <c r="F15" s="37" t="s">
        <v>1</v>
      </c>
    </row>
    <row r="16" spans="1:9" s="10" customFormat="1" ht="15" x14ac:dyDescent="0.2">
      <c r="A16" s="14" t="s">
        <v>8</v>
      </c>
      <c r="B16" s="14"/>
      <c r="D16" s="15" t="s">
        <v>0</v>
      </c>
    </row>
    <row r="17" spans="1:7" s="10" customFormat="1" ht="15" x14ac:dyDescent="0.2">
      <c r="A17" s="22" t="s">
        <v>9</v>
      </c>
      <c r="D17" s="38">
        <f>83.76*0.1</f>
        <v>8.3760000000000012</v>
      </c>
      <c r="E17" s="18"/>
      <c r="F17" s="18"/>
      <c r="G17" s="37"/>
    </row>
    <row r="18" spans="1:7" s="10" customFormat="1" ht="15" x14ac:dyDescent="0.2">
      <c r="A18" s="22" t="s">
        <v>10</v>
      </c>
      <c r="B18" s="25"/>
      <c r="D18" s="38">
        <v>0</v>
      </c>
    </row>
    <row r="19" spans="1:7" s="10" customFormat="1" ht="15" x14ac:dyDescent="0.2">
      <c r="A19" s="22" t="s">
        <v>30</v>
      </c>
      <c r="B19" s="25"/>
      <c r="D19" s="38">
        <f>0.5+3.37</f>
        <v>3.87</v>
      </c>
    </row>
    <row r="20" spans="1:7" s="10" customFormat="1" ht="15" x14ac:dyDescent="0.2">
      <c r="A20" s="22" t="s">
        <v>40</v>
      </c>
      <c r="D20" s="38">
        <v>20</v>
      </c>
      <c r="E20" s="18"/>
      <c r="F20" s="18"/>
      <c r="G20" s="37"/>
    </row>
    <row r="21" spans="1:7" s="10" customFormat="1" ht="15" x14ac:dyDescent="0.2">
      <c r="A21" s="22" t="s">
        <v>11</v>
      </c>
      <c r="B21" s="25"/>
      <c r="D21" s="38">
        <v>0</v>
      </c>
    </row>
    <row r="22" spans="1:7" s="10" customFormat="1" ht="15" x14ac:dyDescent="0.2">
      <c r="A22" s="22" t="s">
        <v>12</v>
      </c>
      <c r="B22" s="25"/>
      <c r="D22" s="38">
        <v>58</v>
      </c>
    </row>
    <row r="23" spans="1:7" s="10" customFormat="1" ht="15" x14ac:dyDescent="0.2">
      <c r="A23" s="60" t="s">
        <v>41</v>
      </c>
      <c r="B23" s="25"/>
      <c r="D23" s="38">
        <f>48.45/5</f>
        <v>9.6900000000000013</v>
      </c>
    </row>
    <row r="24" spans="1:7" s="10" customFormat="1" ht="15" x14ac:dyDescent="0.2">
      <c r="A24" s="22" t="s">
        <v>27</v>
      </c>
      <c r="B24" s="25"/>
      <c r="D24" s="38">
        <v>10</v>
      </c>
    </row>
    <row r="25" spans="1:7" s="10" customFormat="1" ht="15" x14ac:dyDescent="0.2">
      <c r="A25" s="60" t="s">
        <v>49</v>
      </c>
      <c r="B25" s="25"/>
      <c r="D25" s="38">
        <f>((180/6)*4)*0.15</f>
        <v>18</v>
      </c>
    </row>
    <row r="26" spans="1:7" s="10" customFormat="1" ht="15" x14ac:dyDescent="0.2">
      <c r="A26" s="22" t="s">
        <v>29</v>
      </c>
      <c r="B26" s="25"/>
      <c r="D26" s="38">
        <f>50*0.25</f>
        <v>12.5</v>
      </c>
    </row>
    <row r="27" spans="1:7" s="10" customFormat="1" ht="15" x14ac:dyDescent="0.2">
      <c r="A27" s="13" t="s">
        <v>13</v>
      </c>
      <c r="B27" s="14"/>
      <c r="C27" s="14"/>
      <c r="D27" s="39">
        <f>SUM(D17:D26)</f>
        <v>140.43600000000001</v>
      </c>
      <c r="E27" s="18"/>
      <c r="F27" s="18"/>
      <c r="G27" s="37"/>
    </row>
    <row r="28" spans="1:7" s="10" customFormat="1" ht="15" x14ac:dyDescent="0.2">
      <c r="A28" s="22"/>
      <c r="D28" s="23"/>
      <c r="E28" s="18"/>
      <c r="F28" s="18"/>
      <c r="G28" s="37"/>
    </row>
    <row r="29" spans="1:7" s="10" customFormat="1" ht="15" x14ac:dyDescent="0.2">
      <c r="A29" s="14" t="s">
        <v>56</v>
      </c>
      <c r="B29" s="14"/>
    </row>
    <row r="30" spans="1:7" s="10" customFormat="1" ht="15" x14ac:dyDescent="0.2">
      <c r="A30" s="14" t="s">
        <v>15</v>
      </c>
      <c r="B30" s="14"/>
      <c r="D30" s="15" t="s">
        <v>16</v>
      </c>
      <c r="E30" s="15" t="s">
        <v>4</v>
      </c>
      <c r="F30" s="15" t="s">
        <v>0</v>
      </c>
    </row>
    <row r="31" spans="1:7" s="10" customFormat="1" ht="15" x14ac:dyDescent="0.2">
      <c r="A31" s="60" t="s">
        <v>17</v>
      </c>
      <c r="D31" s="16">
        <v>1.5</v>
      </c>
      <c r="E31" s="17">
        <v>15</v>
      </c>
      <c r="F31" s="19">
        <f t="shared" ref="F31:F35" si="0">D31*E31</f>
        <v>22.5</v>
      </c>
      <c r="G31" s="37"/>
    </row>
    <row r="32" spans="1:7" s="10" customFormat="1" ht="15" x14ac:dyDescent="0.2">
      <c r="A32" s="60" t="s">
        <v>53</v>
      </c>
      <c r="B32" s="25"/>
      <c r="D32" s="16">
        <v>1.5</v>
      </c>
      <c r="E32" s="17">
        <f>AVERAGE(15, 10, 8)</f>
        <v>11</v>
      </c>
      <c r="F32" s="19">
        <f t="shared" si="0"/>
        <v>16.5</v>
      </c>
    </row>
    <row r="33" spans="1:7" s="10" customFormat="1" ht="15" x14ac:dyDescent="0.2">
      <c r="A33" s="60" t="s">
        <v>18</v>
      </c>
      <c r="D33" s="16">
        <v>1.5</v>
      </c>
      <c r="E33" s="17">
        <v>15</v>
      </c>
      <c r="F33" s="19">
        <f t="shared" si="0"/>
        <v>22.5</v>
      </c>
      <c r="G33" s="37"/>
    </row>
    <row r="34" spans="1:7" s="10" customFormat="1" ht="15" x14ac:dyDescent="0.2">
      <c r="A34" s="60" t="s">
        <v>55</v>
      </c>
      <c r="B34" s="25"/>
      <c r="D34" s="16">
        <v>12.5</v>
      </c>
      <c r="E34" s="17">
        <v>15</v>
      </c>
      <c r="F34" s="19">
        <f t="shared" si="0"/>
        <v>187.5</v>
      </c>
    </row>
    <row r="35" spans="1:7" s="10" customFormat="1" ht="15" x14ac:dyDescent="0.2">
      <c r="A35" s="60" t="s">
        <v>54</v>
      </c>
      <c r="B35" s="25"/>
      <c r="D35" s="16">
        <v>7</v>
      </c>
      <c r="E35" s="17">
        <f>AVERAGE(15, 10, 8)</f>
        <v>11</v>
      </c>
      <c r="F35" s="44">
        <f t="shared" si="0"/>
        <v>77</v>
      </c>
    </row>
    <row r="36" spans="1:7" s="10" customFormat="1" ht="15" x14ac:dyDescent="0.2">
      <c r="A36" s="13" t="s">
        <v>13</v>
      </c>
      <c r="B36" s="14"/>
      <c r="C36" s="14"/>
      <c r="D36" s="20">
        <f>SUM(D31:D35)</f>
        <v>24</v>
      </c>
      <c r="E36" s="18"/>
      <c r="F36" s="21">
        <f>SUM(F31:F35)</f>
        <v>326</v>
      </c>
      <c r="G36" s="37"/>
    </row>
    <row r="37" spans="1:7" s="10" customFormat="1" ht="15" x14ac:dyDescent="0.2">
      <c r="A37" s="13"/>
      <c r="B37" s="14"/>
      <c r="C37" s="14"/>
      <c r="D37" s="20"/>
      <c r="E37" s="18"/>
      <c r="F37" s="21"/>
      <c r="G37" s="37"/>
    </row>
    <row r="38" spans="1:7" s="10" customFormat="1" ht="15" x14ac:dyDescent="0.2">
      <c r="A38" s="13"/>
      <c r="B38" s="14"/>
      <c r="C38" s="14"/>
      <c r="D38" s="20"/>
      <c r="E38" s="18"/>
      <c r="F38" s="21"/>
      <c r="G38" s="37"/>
    </row>
    <row r="39" spans="1:7" s="10" customFormat="1" ht="15" x14ac:dyDescent="0.2">
      <c r="A39" s="13" t="s">
        <v>19</v>
      </c>
      <c r="B39" s="15"/>
      <c r="C39" s="15"/>
      <c r="D39" s="15" t="s">
        <v>20</v>
      </c>
      <c r="E39" s="18"/>
      <c r="F39" s="21"/>
      <c r="G39" s="37"/>
    </row>
    <row r="40" spans="1:7" s="10" customFormat="1" ht="15" x14ac:dyDescent="0.2">
      <c r="A40" s="22" t="s">
        <v>21</v>
      </c>
      <c r="D40" s="17">
        <f>(D9/10)*0.05</f>
        <v>41</v>
      </c>
      <c r="E40" s="18"/>
      <c r="F40" s="21"/>
      <c r="G40" s="37"/>
    </row>
    <row r="41" spans="1:7" s="10" customFormat="1" ht="15" x14ac:dyDescent="0.2">
      <c r="A41" s="22" t="s">
        <v>22</v>
      </c>
      <c r="D41" s="17">
        <f>(600/3)*0.05</f>
        <v>10</v>
      </c>
      <c r="E41" s="18"/>
      <c r="F41" s="21"/>
      <c r="G41" s="37"/>
    </row>
    <row r="42" spans="1:7" s="10" customFormat="1" ht="15" x14ac:dyDescent="0.2">
      <c r="A42" s="60" t="s">
        <v>46</v>
      </c>
      <c r="D42" s="17">
        <f>(5000/15)*0.01</f>
        <v>3.333333333333333</v>
      </c>
      <c r="E42" s="18"/>
      <c r="F42" s="21"/>
      <c r="G42" s="37"/>
    </row>
    <row r="43" spans="1:7" s="10" customFormat="1" ht="15" x14ac:dyDescent="0.2">
      <c r="A43" s="22" t="s">
        <v>28</v>
      </c>
      <c r="D43" s="17">
        <f>232*0.05</f>
        <v>11.600000000000001</v>
      </c>
      <c r="E43" s="18"/>
      <c r="F43" s="21"/>
      <c r="G43" s="37"/>
    </row>
    <row r="44" spans="1:7" s="10" customFormat="1" ht="15" x14ac:dyDescent="0.2">
      <c r="A44" s="14" t="s">
        <v>31</v>
      </c>
      <c r="D44" s="21">
        <f>SUM(D40:D43)</f>
        <v>65.933333333333337</v>
      </c>
      <c r="E44" s="18"/>
      <c r="F44" s="21"/>
      <c r="G44" s="37"/>
    </row>
    <row r="45" spans="1:7" s="10" customFormat="1" ht="15" x14ac:dyDescent="0.2">
      <c r="A45" s="25"/>
      <c r="B45" s="25"/>
      <c r="E45" s="18"/>
      <c r="F45" s="21"/>
      <c r="G45" s="37"/>
    </row>
    <row r="46" spans="1:7" s="10" customFormat="1" ht="15" x14ac:dyDescent="0.2">
      <c r="A46" s="14" t="s">
        <v>23</v>
      </c>
      <c r="B46" s="10" t="s">
        <v>1</v>
      </c>
      <c r="E46" s="18"/>
      <c r="F46" s="21"/>
      <c r="G46" s="37"/>
    </row>
    <row r="47" spans="1:7" s="10" customFormat="1" ht="15" x14ac:dyDescent="0.2">
      <c r="A47" s="22" t="s">
        <v>32</v>
      </c>
      <c r="D47" s="56">
        <f>D27+F36+D44</f>
        <v>532.36933333333332</v>
      </c>
      <c r="E47" s="18"/>
      <c r="F47" s="21"/>
      <c r="G47" s="37"/>
    </row>
    <row r="48" spans="1:7" s="10" customFormat="1" ht="15" x14ac:dyDescent="0.2">
      <c r="A48" s="22" t="s">
        <v>24</v>
      </c>
      <c r="D48" s="40">
        <f>D47/D7</f>
        <v>0.18485046296296295</v>
      </c>
      <c r="E48" s="18"/>
      <c r="F48" s="21"/>
      <c r="G48" s="37"/>
    </row>
    <row r="49" spans="1:9" s="10" customFormat="1" ht="15" x14ac:dyDescent="0.2">
      <c r="A49" s="13"/>
      <c r="B49" s="14"/>
      <c r="C49" s="14"/>
      <c r="D49" s="20"/>
      <c r="E49" s="18"/>
      <c r="F49" s="21"/>
      <c r="G49" s="37"/>
    </row>
    <row r="50" spans="1:9" x14ac:dyDescent="0.15">
      <c r="A50" s="8"/>
      <c r="B50" s="4"/>
      <c r="C50" s="6"/>
      <c r="F50" s="5"/>
    </row>
    <row r="51" spans="1:9" s="6" customFormat="1" x14ac:dyDescent="0.15">
      <c r="A51" s="75"/>
      <c r="B51" s="75"/>
      <c r="C51" s="75"/>
      <c r="D51" s="75"/>
      <c r="E51" s="75"/>
      <c r="F51" s="75"/>
      <c r="G51" s="75"/>
      <c r="H51" s="7"/>
      <c r="I51" s="7"/>
    </row>
    <row r="52" spans="1:9" s="6" customFormat="1" x14ac:dyDescent="0.15">
      <c r="A52" s="1"/>
      <c r="B52" s="1"/>
      <c r="C52" s="1"/>
      <c r="D52" s="1"/>
      <c r="E52" s="1"/>
      <c r="F52" s="1"/>
      <c r="G52" s="1"/>
      <c r="H52" s="7"/>
      <c r="I52" s="7"/>
    </row>
    <row r="53" spans="1:9" s="6" customFormat="1" x14ac:dyDescent="0.15">
      <c r="A53" s="1"/>
      <c r="B53" s="1"/>
      <c r="C53" s="1"/>
      <c r="D53" s="1"/>
      <c r="E53" s="1"/>
      <c r="F53" s="1"/>
      <c r="G53" s="1"/>
      <c r="H53" s="7"/>
      <c r="I53" s="7"/>
    </row>
    <row r="59" spans="1:9" ht="15" x14ac:dyDescent="0.2">
      <c r="A59" s="81" t="s">
        <v>66</v>
      </c>
    </row>
    <row r="60" spans="1:9" ht="15" x14ac:dyDescent="0.2">
      <c r="A60" s="82" t="s">
        <v>67</v>
      </c>
    </row>
  </sheetData>
  <mergeCells count="3">
    <mergeCell ref="A51:G51"/>
    <mergeCell ref="A3:E3"/>
    <mergeCell ref="D10:F10"/>
  </mergeCells>
  <phoneticPr fontId="4" type="noConversion"/>
  <pageMargins left="0.75" right="0.75" top="0.75" bottom="0.75" header="0.5" footer="0.5"/>
  <pageSetup fitToHeight="2" orientation="portrait" r:id="rId1"/>
  <headerFooter alignWithMargins="0"/>
  <ignoredErrors>
    <ignoredError sqref="D19 D17 D25:D26 D7:D8 D23 E32 E35 D40:D42 D4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AD21-7217-498A-A863-8676F08ACA05}">
  <sheetPr codeName="Sheet4"/>
  <dimension ref="A1:Q33"/>
  <sheetViews>
    <sheetView showGridLines="0" workbookViewId="0">
      <selection activeCell="B8" sqref="B8"/>
    </sheetView>
  </sheetViews>
  <sheetFormatPr baseColWidth="10" defaultColWidth="9.1640625" defaultRowHeight="15" x14ac:dyDescent="0.2"/>
  <cols>
    <col min="1" max="1" width="32.5" style="9" customWidth="1"/>
    <col min="2" max="2" width="2.6640625" style="9" customWidth="1"/>
    <col min="3" max="3" width="3" style="9" customWidth="1"/>
    <col min="4" max="4" width="10" style="9" bestFit="1" customWidth="1"/>
    <col min="5" max="5" width="11.83203125" style="9" customWidth="1"/>
    <col min="6" max="6" width="9.5" style="9" bestFit="1" customWidth="1"/>
    <col min="7" max="7" width="9" style="9" customWidth="1"/>
    <col min="8" max="8" width="10.83203125" style="9" customWidth="1"/>
    <col min="9" max="10" width="9.1640625" style="9"/>
    <col min="11" max="11" width="10.5" style="9" customWidth="1"/>
    <col min="12" max="16384" width="9.1640625" style="9"/>
  </cols>
  <sheetData>
    <row r="1" spans="1:17" s="85" customFormat="1" ht="18" x14ac:dyDescent="0.2">
      <c r="A1" s="78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  <c r="N1" s="84"/>
      <c r="O1" s="84"/>
      <c r="P1" s="84"/>
      <c r="Q1" s="84"/>
    </row>
    <row r="3" spans="1:17" x14ac:dyDescent="0.2">
      <c r="A3" s="76" t="s">
        <v>2</v>
      </c>
      <c r="B3" s="76"/>
      <c r="C3" s="76"/>
      <c r="D3" s="76"/>
      <c r="E3" s="76"/>
    </row>
    <row r="4" spans="1:17" x14ac:dyDescent="0.2">
      <c r="A4" s="57" t="s">
        <v>3</v>
      </c>
      <c r="B4" s="58"/>
      <c r="C4" s="59"/>
      <c r="D4" s="10"/>
      <c r="E4" s="10"/>
    </row>
    <row r="5" spans="1:17" x14ac:dyDescent="0.2">
      <c r="A5" s="11"/>
      <c r="B5" s="12"/>
      <c r="C5" s="12"/>
      <c r="D5" s="10"/>
      <c r="E5" s="10"/>
    </row>
    <row r="6" spans="1:17" x14ac:dyDescent="0.2">
      <c r="A6" s="11"/>
      <c r="B6" s="12"/>
      <c r="C6" s="12"/>
      <c r="D6" s="10"/>
      <c r="E6" s="10"/>
    </row>
    <row r="7" spans="1:17" ht="32" x14ac:dyDescent="0.2">
      <c r="A7" s="13" t="s">
        <v>26</v>
      </c>
      <c r="B7" s="14"/>
      <c r="C7" s="14"/>
      <c r="D7" s="15" t="s">
        <v>34</v>
      </c>
      <c r="E7" s="15" t="s">
        <v>4</v>
      </c>
      <c r="F7" s="15" t="s">
        <v>0</v>
      </c>
      <c r="G7" s="72" t="s">
        <v>64</v>
      </c>
      <c r="H7" s="72" t="s">
        <v>65</v>
      </c>
      <c r="J7" s="66" t="s">
        <v>59</v>
      </c>
      <c r="K7"/>
    </row>
    <row r="8" spans="1:17" x14ac:dyDescent="0.2">
      <c r="A8" s="49" t="s">
        <v>35</v>
      </c>
      <c r="B8" s="14"/>
      <c r="C8" s="14"/>
      <c r="D8" s="45">
        <f>39*5</f>
        <v>195</v>
      </c>
      <c r="E8" s="46">
        <v>0.57999999999999996</v>
      </c>
      <c r="F8" s="47">
        <f>(E8*D8)</f>
        <v>113.1</v>
      </c>
      <c r="G8" s="73">
        <v>0.18</v>
      </c>
      <c r="H8" s="47">
        <f>F8*G8</f>
        <v>20.357999999999997</v>
      </c>
      <c r="J8" s="67" t="s">
        <v>14</v>
      </c>
      <c r="K8" s="68">
        <f>'Cost of Production and Sales'!F14</f>
        <v>1041</v>
      </c>
    </row>
    <row r="9" spans="1:17" x14ac:dyDescent="0.2">
      <c r="A9" s="49" t="s">
        <v>36</v>
      </c>
      <c r="B9" s="14"/>
      <c r="C9" s="14"/>
      <c r="D9" s="45">
        <v>15</v>
      </c>
      <c r="E9" s="46">
        <v>15</v>
      </c>
      <c r="F9" s="47">
        <f>(E9*D9)</f>
        <v>225</v>
      </c>
      <c r="G9" s="73">
        <v>0.18</v>
      </c>
      <c r="H9" s="47">
        <f t="shared" ref="H9:H14" si="0">F9*G9</f>
        <v>40.5</v>
      </c>
      <c r="J9" s="67" t="s">
        <v>8</v>
      </c>
      <c r="K9" s="68">
        <f>'Cost of Production and Sales'!D27</f>
        <v>140.43600000000001</v>
      </c>
    </row>
    <row r="10" spans="1:17" x14ac:dyDescent="0.2">
      <c r="A10" s="49" t="s">
        <v>37</v>
      </c>
      <c r="B10" s="14"/>
      <c r="C10" s="14"/>
      <c r="D10" s="45">
        <v>34</v>
      </c>
      <c r="E10" s="46">
        <v>0.15</v>
      </c>
      <c r="F10" s="47">
        <f>(E10*D10)</f>
        <v>5.0999999999999996</v>
      </c>
      <c r="G10" s="73">
        <v>0.18</v>
      </c>
      <c r="H10" s="47">
        <f t="shared" si="0"/>
        <v>0.91799999999999993</v>
      </c>
      <c r="J10" s="67" t="s">
        <v>60</v>
      </c>
      <c r="K10" s="68">
        <f>'Cost of Production and Sales'!F36</f>
        <v>326</v>
      </c>
    </row>
    <row r="11" spans="1:17" x14ac:dyDescent="0.2">
      <c r="A11" s="49" t="s">
        <v>47</v>
      </c>
      <c r="B11" s="14"/>
      <c r="C11" s="14"/>
      <c r="D11" s="45">
        <v>7</v>
      </c>
      <c r="E11" s="46">
        <v>15</v>
      </c>
      <c r="F11" s="47">
        <f>(E11*D11)</f>
        <v>105</v>
      </c>
      <c r="G11" s="73">
        <v>0.18</v>
      </c>
      <c r="H11" s="47">
        <f t="shared" si="0"/>
        <v>18.899999999999999</v>
      </c>
      <c r="I11" s="65"/>
      <c r="J11" s="67" t="s">
        <v>19</v>
      </c>
      <c r="K11" s="68">
        <f>'Cost of Production and Sales'!D44</f>
        <v>65.933333333333337</v>
      </c>
    </row>
    <row r="12" spans="1:17" ht="18" x14ac:dyDescent="0.35">
      <c r="A12" s="51" t="s">
        <v>48</v>
      </c>
      <c r="B12" s="14"/>
      <c r="C12" s="14"/>
      <c r="D12" s="53">
        <v>0.9</v>
      </c>
      <c r="E12" s="52">
        <v>15</v>
      </c>
      <c r="F12" s="48">
        <f>(D12*E12)</f>
        <v>13.5</v>
      </c>
      <c r="G12" s="74">
        <v>0.4</v>
      </c>
      <c r="H12" s="47">
        <f t="shared" si="0"/>
        <v>5.4</v>
      </c>
      <c r="I12" s="65"/>
      <c r="J12" s="67" t="s">
        <v>61</v>
      </c>
      <c r="K12" s="69">
        <f>F15</f>
        <v>619.5</v>
      </c>
    </row>
    <row r="13" spans="1:17" x14ac:dyDescent="0.2">
      <c r="A13" s="51" t="s">
        <v>38</v>
      </c>
      <c r="B13" s="14"/>
      <c r="C13" s="14"/>
      <c r="D13" s="53">
        <v>52</v>
      </c>
      <c r="E13" s="63">
        <v>0.15</v>
      </c>
      <c r="F13" s="48">
        <f>(D13*E13)</f>
        <v>7.8</v>
      </c>
      <c r="G13" s="74">
        <v>0.4</v>
      </c>
      <c r="H13" s="47">
        <f t="shared" si="0"/>
        <v>3.12</v>
      </c>
      <c r="I13" s="65"/>
      <c r="J13" s="66" t="s">
        <v>62</v>
      </c>
      <c r="K13" s="71">
        <f>K8-K9-K10-K11-K12</f>
        <v>-110.86933333333337</v>
      </c>
    </row>
    <row r="14" spans="1:17" x14ac:dyDescent="0.2">
      <c r="A14" s="51" t="s">
        <v>39</v>
      </c>
      <c r="B14" s="14"/>
      <c r="C14" s="14"/>
      <c r="D14" s="54">
        <v>10</v>
      </c>
      <c r="E14" s="55">
        <v>15</v>
      </c>
      <c r="F14" s="48">
        <f>(D14*E14)</f>
        <v>150</v>
      </c>
      <c r="G14" s="74">
        <v>0.4</v>
      </c>
      <c r="H14" s="47">
        <f t="shared" si="0"/>
        <v>60</v>
      </c>
    </row>
    <row r="15" spans="1:17" x14ac:dyDescent="0.2">
      <c r="A15" s="22"/>
      <c r="B15" s="10"/>
      <c r="C15" s="10"/>
      <c r="D15" s="20">
        <f>SUM(D8:D14)</f>
        <v>313.89999999999998</v>
      </c>
      <c r="E15" s="18"/>
      <c r="F15" s="21">
        <f>SUM(F8:F14)</f>
        <v>619.5</v>
      </c>
      <c r="G15" s="21"/>
      <c r="H15" s="21"/>
    </row>
    <row r="16" spans="1:17" x14ac:dyDescent="0.2">
      <c r="A16" s="22"/>
      <c r="B16" s="10"/>
      <c r="C16" s="10"/>
      <c r="D16" s="20"/>
      <c r="E16" s="18"/>
      <c r="F16" s="21"/>
      <c r="G16" s="21"/>
      <c r="H16" s="21"/>
    </row>
    <row r="17" spans="1:11" x14ac:dyDescent="0.2">
      <c r="A17" s="14" t="s">
        <v>25</v>
      </c>
      <c r="B17" s="10"/>
      <c r="C17" s="10"/>
      <c r="D17" s="10"/>
      <c r="E17" s="10"/>
      <c r="F17" s="10"/>
      <c r="G17" s="10"/>
      <c r="H17" s="10"/>
    </row>
    <row r="18" spans="1:11" x14ac:dyDescent="0.2">
      <c r="A18" s="49" t="s">
        <v>50</v>
      </c>
      <c r="B18" s="10"/>
      <c r="C18" s="10"/>
      <c r="D18" s="41"/>
      <c r="E18" s="50">
        <f>'Cost of Production and Sales'!F12-(('Cost of Production and Sales'!D47*('Cost of Production and Sales'!F12/'Cost of Production and Sales'!F14))+('Annual Return per Market Outlet'!F8+'Annual Return per Market Outlet'!F9+'Annual Return per Market Outlet'!F10+'Annual Return per Market Outlet'!F11))</f>
        <v>-248.85195773294913</v>
      </c>
      <c r="F18" s="10"/>
      <c r="G18" s="10"/>
      <c r="H18" s="10"/>
    </row>
    <row r="19" spans="1:11" x14ac:dyDescent="0.2">
      <c r="A19" s="51" t="s">
        <v>51</v>
      </c>
      <c r="B19" s="10"/>
      <c r="C19" s="10"/>
      <c r="D19" s="42"/>
      <c r="E19" s="52">
        <f>'Cost of Production and Sales'!F13-(('Cost of Production and Sales'!D47*('Cost of Production and Sales'!F13/'Cost of Production and Sales'!F14))+(F12+F13+F14))</f>
        <v>137.98262439961576</v>
      </c>
      <c r="F19" s="10"/>
      <c r="G19" s="10"/>
      <c r="H19" s="10"/>
    </row>
    <row r="20" spans="1:11" x14ac:dyDescent="0.2">
      <c r="E20" s="70">
        <f>SUM(E18:E19)</f>
        <v>-110.86933333333337</v>
      </c>
    </row>
    <row r="21" spans="1:11" x14ac:dyDescent="0.2">
      <c r="E21" s="70"/>
    </row>
    <row r="22" spans="1:11" x14ac:dyDescent="0.2">
      <c r="E22" s="70"/>
    </row>
    <row r="23" spans="1:11" x14ac:dyDescent="0.2">
      <c r="E23" s="70"/>
    </row>
    <row r="24" spans="1:11" x14ac:dyDescent="0.2">
      <c r="E24" s="70"/>
    </row>
    <row r="25" spans="1:11" x14ac:dyDescent="0.2"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C26" s="43"/>
      <c r="D26" s="43"/>
      <c r="E26" s="43"/>
      <c r="F26" s="43"/>
      <c r="G26" s="43"/>
      <c r="H26" s="43"/>
      <c r="I26" s="43"/>
      <c r="J26" s="43"/>
      <c r="K26" s="43"/>
    </row>
    <row r="32" spans="1:11" x14ac:dyDescent="0.2">
      <c r="A32" s="81" t="s">
        <v>66</v>
      </c>
    </row>
    <row r="33" spans="1:1" x14ac:dyDescent="0.2">
      <c r="A33" s="82" t="s">
        <v>67</v>
      </c>
    </row>
  </sheetData>
  <mergeCells count="1">
    <mergeCell ref="A3:E3"/>
  </mergeCells>
  <pageMargins left="0.7" right="0.7" top="0.75" bottom="0.75" header="0.3" footer="0.3"/>
  <pageSetup orientation="landscape" r:id="rId1"/>
  <ignoredErrors>
    <ignoredError sqref="D8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083ED4BA02243941EB3A0FA0A49F8" ma:contentTypeVersion="13" ma:contentTypeDescription="Create a new document." ma:contentTypeScope="" ma:versionID="350851ec1afa98681b5e0303db225b4e">
  <xsd:schema xmlns:xsd="http://www.w3.org/2001/XMLSchema" xmlns:xs="http://www.w3.org/2001/XMLSchema" xmlns:p="http://schemas.microsoft.com/office/2006/metadata/properties" xmlns:ns3="45b29910-65f8-4aab-b472-ddf5f50187aa" xmlns:ns4="69ca8132-93dc-4368-a2d0-3a9811947e48" targetNamespace="http://schemas.microsoft.com/office/2006/metadata/properties" ma:root="true" ma:fieldsID="77d50448c4f4f5dd6eed1413f5292048" ns3:_="" ns4:_="">
    <xsd:import namespace="45b29910-65f8-4aab-b472-ddf5f50187aa"/>
    <xsd:import namespace="69ca8132-93dc-4368-a2d0-3a9811947e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29910-65f8-4aab-b472-ddf5f5018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a8132-93dc-4368-a2d0-3a9811947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66E7A-496B-4FA7-98D2-3BE359F35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29910-65f8-4aab-b472-ddf5f50187aa"/>
    <ds:schemaRef ds:uri="69ca8132-93dc-4368-a2d0-3a9811947e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6753B1-35C1-40C7-B6DB-CF7E6854EE33}">
  <ds:schemaRefs>
    <ds:schemaRef ds:uri="45b29910-65f8-4aab-b472-ddf5f50187a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69ca8132-93dc-4368-a2d0-3a9811947e4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597C04-6C86-49B2-B7AC-D134FB0407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of Production and Sales</vt:lpstr>
      <vt:lpstr>Annual Return per Market Outlet</vt:lpstr>
      <vt:lpstr>'Cost of Production and Sales'!Print_Area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Johanns - Ag Decision Maker</dc:creator>
  <cp:lastModifiedBy>Microsoft Office User</cp:lastModifiedBy>
  <cp:lastPrinted>2019-09-12T20:32:20Z</cp:lastPrinted>
  <dcterms:created xsi:type="dcterms:W3CDTF">2000-12-12T02:58:27Z</dcterms:created>
  <dcterms:modified xsi:type="dcterms:W3CDTF">2021-01-28T17:43:10Z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0x010100D78083ED4BA02243941EB3A0FA0A49F8</vt:lpwstr>
  </property>
</Properties>
</file>